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2022 год" sheetId="7" r:id="rId1"/>
  </sheets>
  <definedNames>
    <definedName name="_xlnm._FilterDatabase" localSheetId="0" hidden="1">'2022 год'!$A$3:$CV$9</definedName>
    <definedName name="Z_8F857505_99F7_44A0_9311_0C036734EE4E_.wvu.Cols" localSheetId="0" hidden="1">'2022 год'!$M:$M,'2022 год'!$O:$O,'2022 год'!$Q:$Q</definedName>
    <definedName name="Z_8F857505_99F7_44A0_9311_0C036734EE4E_.wvu.FilterData" localSheetId="0" hidden="1">'2022 год'!$A$3:$CV$9</definedName>
    <definedName name="Z_8F857505_99F7_44A0_9311_0C036734EE4E_.wvu.PrintTitles" localSheetId="0" hidden="1">'2022 год'!$A:$A</definedName>
    <definedName name="Z_A2FD971F_E944_4D74_B779_A0EFF498D9F4_.wvu.FilterData" localSheetId="0" hidden="1">'2022 год'!$A$3:$CV$9</definedName>
    <definedName name="Z_A9585D8F_84FF_4B47_8C73_1E41499AFDEF_.wvu.FilterData" localSheetId="0" hidden="1">'2022 год'!$A$3:$CV$9</definedName>
    <definedName name="Z_C25F2E07_26D8_4FF3_99D5_BF02F5F80659_.wvu.FilterData" localSheetId="0" hidden="1">'2022 год'!$A$3:$CV$9</definedName>
    <definedName name="Z_F8663FA0_0F1B_4DD5_86AB_0F7B7AF3784A_.wvu.FilterData" localSheetId="0" hidden="1">'2022 год'!$A$3:$CV$9</definedName>
    <definedName name="_xlnm.Print_Titles" localSheetId="0">'2022 год'!$A:$A</definedName>
    <definedName name="_xlnm.Print_Area" localSheetId="0">'2022 год'!$A$1:$CV$9</definedName>
  </definedNames>
  <calcPr calcId="124519"/>
  <customWorkbookViews>
    <customWorkbookView name="predeina - Личное представление" guid="{8F857505-99F7-44A0-9311-0C036734EE4E}" mergeInterval="0" personalView="1" maximized="1" xWindow="1" yWindow="1" windowWidth="1916" windowHeight="859" activeSheetId="7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user - Личное представление" guid="{E6E35B51-2B6C-4505-80DA-44E3E0129050}" mergeInterval="0" personalView="1" maximized="1" windowWidth="1276" windowHeight="878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mikrukova - Личное представление" guid="{3827CA41-612C-450D-8ED8-1EB24926E0AE}" mergeInterval="0" personalView="1" maximized="1" xWindow="1" yWindow="1" windowWidth="1596" windowHeight="679" activeSheetId="5"/>
  </customWorkbookViews>
</workbook>
</file>

<file path=xl/calcChain.xml><?xml version="1.0" encoding="utf-8"?>
<calcChain xmlns="http://schemas.openxmlformats.org/spreadsheetml/2006/main">
  <c r="CT7" i="7"/>
  <c r="BH4"/>
  <c r="BH5"/>
  <c r="X8"/>
  <c r="Z8" s="1"/>
  <c r="X7"/>
  <c r="Z7" s="1"/>
  <c r="X6"/>
  <c r="Z6" s="1"/>
  <c r="X5"/>
  <c r="Z5" s="1"/>
  <c r="X4"/>
  <c r="Z4" s="1"/>
  <c r="I8"/>
  <c r="K8" s="1"/>
  <c r="I7"/>
  <c r="K7" s="1"/>
  <c r="I6"/>
  <c r="K6" s="1"/>
  <c r="I5"/>
  <c r="K5" s="1"/>
  <c r="I4"/>
  <c r="K4" s="1"/>
  <c r="CT8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CQ8"/>
  <c r="CR8" s="1"/>
  <c r="AD4"/>
  <c r="AF4" s="1"/>
  <c r="AJ4"/>
  <c r="AL4" s="1"/>
  <c r="AO4"/>
  <c r="AQ4" s="1"/>
  <c r="BL4"/>
  <c r="BM4" s="1"/>
  <c r="BR4"/>
  <c r="BS4" s="1"/>
  <c r="BU4"/>
  <c r="CQ4"/>
  <c r="CR4"/>
  <c r="AD5"/>
  <c r="AF5" s="1"/>
  <c r="AJ5"/>
  <c r="AL5"/>
  <c r="AO5"/>
  <c r="AQ5" s="1"/>
  <c r="BL5"/>
  <c r="BM5" s="1"/>
  <c r="BR5"/>
  <c r="BS5" s="1"/>
  <c r="BU5"/>
  <c r="CQ5"/>
  <c r="CR5" s="1"/>
  <c r="AD6"/>
  <c r="AF6" s="1"/>
  <c r="AJ6"/>
  <c r="AL6" s="1"/>
  <c r="AO6"/>
  <c r="AQ6" s="1"/>
  <c r="BL6"/>
  <c r="BM6" s="1"/>
  <c r="BR6"/>
  <c r="BS6" s="1"/>
  <c r="BU6"/>
  <c r="CQ6"/>
  <c r="CR6"/>
  <c r="AD7"/>
  <c r="AF7" s="1"/>
  <c r="AJ7"/>
  <c r="AL7"/>
  <c r="AO7"/>
  <c r="AQ7"/>
  <c r="BL7"/>
  <c r="BM7" s="1"/>
  <c r="BR7"/>
  <c r="BS7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5" l="1"/>
  <c r="B7"/>
  <c r="B6"/>
  <c r="B8"/>
  <c r="BC9"/>
  <c r="B4"/>
  <c r="C4" s="1"/>
  <c r="C5" l="1"/>
  <c r="C8"/>
  <c r="C7"/>
  <c r="C6"/>
</calcChain>
</file>

<file path=xl/sharedStrings.xml><?xml version="1.0" encoding="utf-8"?>
<sst xmlns="http://schemas.openxmlformats.org/spreadsheetml/2006/main" count="191" uniqueCount="129">
  <si>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</si>
  <si>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</si>
  <si>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</si>
  <si>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</si>
  <si>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</si>
  <si>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</si>
  <si>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</si>
  <si>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</si>
  <si>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</si>
  <si>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</si>
  <si>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</si>
  <si>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</si>
  <si>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</si>
  <si>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</si>
  <si>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</si>
  <si>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</si>
  <si>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</si>
  <si>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</si>
  <si>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</si>
  <si>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</si>
  <si>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</si>
  <si>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</si>
  <si>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</si>
  <si>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</si>
  <si>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</si>
  <si>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</si>
  <si>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</si>
  <si>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</si>
  <si>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</si>
  <si>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</si>
  <si>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</si>
  <si>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</si>
  <si>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</si>
  <si>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</si>
  <si>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</si>
  <si>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</si>
  <si>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</si>
  <si>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</si>
  <si>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</si>
  <si>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</si>
  <si>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</si>
  <si>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</si>
  <si>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</si>
  <si>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</si>
  <si>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</si>
  <si>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</si>
  <si>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</si>
  <si>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</si>
  <si>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</si>
  <si>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</si>
  <si>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</si>
  <si>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</si>
  <si>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</si>
  <si>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</si>
  <si>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</si>
  <si>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</si>
  <si>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</si>
  <si>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</si>
  <si>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</si>
  <si>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</si>
  <si>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</si>
  <si>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</si>
  <si>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</si>
  <si>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</si>
  <si>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</si>
  <si>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</si>
  <si>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</si>
  <si>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</si>
  <si>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</si>
  <si>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</si>
  <si>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</si>
  <si>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</si>
  <si>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</si>
  <si>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</si>
  <si>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</si>
  <si>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</si>
  <si>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</si>
  <si>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</si>
  <si>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</si>
  <si>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</si>
  <si>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</si>
  <si>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</si>
  <si>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</si>
  <si>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</si>
  <si>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</si>
  <si>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</si>
  <si>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</si>
  <si>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</si>
  <si>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</si>
  <si>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</si>
  <si>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</si>
  <si>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</si>
  <si>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</si>
  <si>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</si>
  <si>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</si>
  <si>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</si>
  <si>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</si>
  <si>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</si>
  <si>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</si>
  <si>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</si>
  <si>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</si>
  <si>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</si>
  <si>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</si>
  <si>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</si>
  <si>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</si>
  <si>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</si>
  <si>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</si>
  <si>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</si>
  <si>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</si>
  <si>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</si>
  <si>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Решение Думы от 17.11.2017 № 3/15</t>
  </si>
  <si>
    <t xml:space="preserve">Постановление 05.09.2016 № 53 - доходная;  </t>
  </si>
  <si>
    <t xml:space="preserve">на информационном стенде </t>
  </si>
  <si>
    <t xml:space="preserve">Постановление 24.11.2017 № 162 доходная; </t>
  </si>
  <si>
    <t>http://pachi.tuzha.ru/index.php/munitsipalnye-programmy/utverzhdennye-munitsipalnye-programmy-na-2020-2025-gody/svodnyj-godovoj-doklad-2020-2025</t>
  </si>
  <si>
    <t>На информационном стенде администрации поселения,на сайте поселения : www/pachi@tuzha.ru</t>
  </si>
  <si>
    <t>Мониторинг оценки  качества организации и осуществления бюджетного процесса на 01.04.2022г.</t>
  </si>
  <si>
    <t>Постановление от 28.05.2019 № 51 и от 28.07.2021 № 59 ;</t>
  </si>
  <si>
    <t>Постановление от 28.12.2021 № 94</t>
  </si>
  <si>
    <t>Постановление от 19.09.2016 № 83 и от 19.07.2021 № 26;;</t>
  </si>
  <si>
    <t>Постановление от 28.12.2021 № 88</t>
  </si>
  <si>
    <t>на сайте: /Муниципальные программы/Постановление от 15.03.2022 № 12 - за 2021 год;</t>
  </si>
  <si>
    <t>Постановление от 30.12.2021 № 99</t>
  </si>
  <si>
    <t xml:space="preserve">Постановление 05.09.2016 № 187 и от 01.06.2021 № 125;; </t>
  </si>
  <si>
    <t>Постановление от 27.12.2021 № 335</t>
  </si>
  <si>
    <t>на сайте: gorod.tuzha.ru/Муниципальные программы/ - за 2021 год</t>
  </si>
  <si>
    <t>932.0</t>
  </si>
  <si>
    <t>Постановление от 28.03.2022 № 29 за 2022 год</t>
  </si>
  <si>
    <t>а на 01.10.2022 г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</si>
</sst>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1"/>
      <color theme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7" fillId="2" borderId="0" xfId="0" applyFont="1" applyFill="1" applyBorder="1"/>
    <xf numFmtId="0" fontId="17" fillId="2" borderId="0" xfId="0" applyFont="1" applyFill="1"/>
    <xf numFmtId="166" fontId="18" fillId="2" borderId="0" xfId="0" applyNumberFormat="1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9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20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21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Protection="1">
      <protection locked="0"/>
    </xf>
    <xf numFmtId="4" fontId="2" fillId="2" borderId="3" xfId="0" applyNumberFormat="1" applyFont="1" applyFill="1" applyBorder="1" applyAlignment="1" applyProtection="1">
      <alignment horizontal="center"/>
      <protection locked="0"/>
    </xf>
    <xf numFmtId="4" fontId="9" fillId="2" borderId="3" xfId="0" applyNumberFormat="1" applyFont="1" applyFill="1" applyBorder="1" applyAlignment="1" applyProtection="1">
      <alignment horizontal="center"/>
      <protection locked="0"/>
    </xf>
    <xf numFmtId="166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3" xfId="0" applyFont="1" applyFill="1" applyBorder="1" applyAlignment="1" applyProtection="1">
      <alignment horizontal="center" vertical="top" wrapText="1"/>
      <protection locked="0"/>
    </xf>
    <xf numFmtId="2" fontId="10" fillId="2" borderId="3" xfId="0" applyNumberFormat="1" applyFont="1" applyFill="1" applyBorder="1" applyAlignment="1" applyProtection="1">
      <alignment horizontal="center" vertical="top" wrapText="1"/>
      <protection locked="0"/>
    </xf>
    <xf numFmtId="2" fontId="22" fillId="2" borderId="3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3" xfId="0" applyNumberFormat="1" applyFont="1" applyFill="1" applyBorder="1" applyAlignment="1" applyProtection="1">
      <alignment horizontal="center" vertical="top" wrapText="1"/>
      <protection locked="0"/>
    </xf>
    <xf numFmtId="4" fontId="10" fillId="2" borderId="3" xfId="0" applyNumberFormat="1" applyFont="1" applyFill="1" applyBorder="1" applyAlignment="1" applyProtection="1">
      <alignment horizontal="center" vertical="top" wrapText="1"/>
      <protection locked="0"/>
    </xf>
    <xf numFmtId="166" fontId="23" fillId="2" borderId="3" xfId="0" applyNumberFormat="1" applyFont="1" applyFill="1" applyBorder="1" applyAlignment="1" applyProtection="1">
      <alignment horizontal="center" vertical="top" wrapText="1"/>
      <protection locked="0"/>
    </xf>
    <xf numFmtId="0" fontId="22" fillId="2" borderId="3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2" fillId="2" borderId="4" xfId="0" applyNumberFormat="1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5" xfId="0" applyFont="1" applyBorder="1" applyAlignment="1" applyProtection="1">
      <alignment horizontal="justify" vertical="top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>
      <alignment horizontal="center" vertical="top" wrapText="1"/>
    </xf>
    <xf numFmtId="165" fontId="10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14" fontId="14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4" fontId="14" fillId="3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vertical="top" wrapText="1"/>
    </xf>
    <xf numFmtId="49" fontId="24" fillId="3" borderId="0" xfId="1" applyNumberFormat="1" applyFont="1" applyFill="1" applyAlignment="1" applyProtection="1">
      <alignment wrapText="1"/>
    </xf>
    <xf numFmtId="0" fontId="1" fillId="3" borderId="0" xfId="0" applyFont="1" applyFill="1" applyAlignment="1">
      <alignment wrapText="1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pachi.tuzha.ru/index.php/munitsipalnye-programmy/utverzhdennye-munitsipalnye-programmy-na-2020-2025-gody/svodnyj-godovoj-doklad-2020-2025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10" zoomScaleNormal="110" workbookViewId="0">
      <pane ySplit="3" topLeftCell="A8" activePane="bottomLeft" state="frozen"/>
      <selection pane="bottomLeft" activeCell="BZ8" sqref="BZ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9" style="3" customWidth="1"/>
    <col min="100" max="100" width="9.5703125" style="3" customWidth="1"/>
    <col min="101" max="16384" width="9.140625" style="3"/>
  </cols>
  <sheetData>
    <row r="1" spans="1:100" s="1" customFormat="1">
      <c r="A1" s="28" t="s">
        <v>116</v>
      </c>
      <c r="B1" s="28"/>
      <c r="C1" s="28"/>
      <c r="D1" s="28"/>
      <c r="E1" s="28"/>
      <c r="F1" s="28"/>
      <c r="G1" s="29" t="s">
        <v>128</v>
      </c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101.25" customHeight="1">
      <c r="A2" s="64" t="s">
        <v>0</v>
      </c>
      <c r="B2" s="64" t="s">
        <v>22</v>
      </c>
      <c r="C2" s="64" t="s">
        <v>23</v>
      </c>
      <c r="D2" s="109" t="s">
        <v>75</v>
      </c>
      <c r="E2" s="111"/>
      <c r="F2" s="111"/>
      <c r="G2" s="111"/>
      <c r="H2" s="111"/>
      <c r="I2" s="111"/>
      <c r="J2" s="111"/>
      <c r="K2" s="110"/>
      <c r="L2" s="109" t="s">
        <v>76</v>
      </c>
      <c r="M2" s="111"/>
      <c r="N2" s="111"/>
      <c r="O2" s="111"/>
      <c r="P2" s="111"/>
      <c r="Q2" s="111"/>
      <c r="R2" s="111"/>
      <c r="S2" s="111"/>
      <c r="T2" s="111"/>
      <c r="U2" s="110"/>
      <c r="V2" s="109" t="s">
        <v>77</v>
      </c>
      <c r="W2" s="111"/>
      <c r="X2" s="111"/>
      <c r="Y2" s="111"/>
      <c r="Z2" s="110"/>
      <c r="AA2" s="109" t="s">
        <v>78</v>
      </c>
      <c r="AB2" s="111"/>
      <c r="AC2" s="111"/>
      <c r="AD2" s="111"/>
      <c r="AE2" s="111"/>
      <c r="AF2" s="110"/>
      <c r="AG2" s="109" t="s">
        <v>56</v>
      </c>
      <c r="AH2" s="111"/>
      <c r="AI2" s="111"/>
      <c r="AJ2" s="111"/>
      <c r="AK2" s="111"/>
      <c r="AL2" s="110"/>
      <c r="AM2" s="109" t="s">
        <v>80</v>
      </c>
      <c r="AN2" s="111"/>
      <c r="AO2" s="111"/>
      <c r="AP2" s="111"/>
      <c r="AQ2" s="110"/>
      <c r="AR2" s="109" t="s">
        <v>59</v>
      </c>
      <c r="AS2" s="111"/>
      <c r="AT2" s="111"/>
      <c r="AU2" s="111"/>
      <c r="AV2" s="110"/>
      <c r="AW2" s="109" t="s">
        <v>97</v>
      </c>
      <c r="AX2" s="111"/>
      <c r="AY2" s="111"/>
      <c r="AZ2" s="110"/>
      <c r="BA2" s="109" t="s">
        <v>61</v>
      </c>
      <c r="BB2" s="111"/>
      <c r="BC2" s="111"/>
      <c r="BD2" s="111"/>
      <c r="BE2" s="110"/>
      <c r="BF2" s="109" t="s">
        <v>83</v>
      </c>
      <c r="BG2" s="111"/>
      <c r="BH2" s="111"/>
      <c r="BI2" s="110"/>
      <c r="BJ2" s="109" t="s">
        <v>85</v>
      </c>
      <c r="BK2" s="111"/>
      <c r="BL2" s="111"/>
      <c r="BM2" s="110"/>
      <c r="BN2" s="109" t="s">
        <v>62</v>
      </c>
      <c r="BO2" s="111"/>
      <c r="BP2" s="111"/>
      <c r="BQ2" s="111"/>
      <c r="BR2" s="111"/>
      <c r="BS2" s="110"/>
      <c r="BT2" s="109" t="s">
        <v>63</v>
      </c>
      <c r="BU2" s="110"/>
      <c r="BV2" s="109" t="s">
        <v>92</v>
      </c>
      <c r="BW2" s="110"/>
      <c r="BX2" s="109" t="s">
        <v>64</v>
      </c>
      <c r="BY2" s="110"/>
      <c r="BZ2" s="109" t="s">
        <v>65</v>
      </c>
      <c r="CA2" s="110"/>
      <c r="CB2" s="109" t="s">
        <v>87</v>
      </c>
      <c r="CC2" s="110"/>
      <c r="CD2" s="109" t="s">
        <v>67</v>
      </c>
      <c r="CE2" s="110"/>
      <c r="CF2" s="109" t="s">
        <v>72</v>
      </c>
      <c r="CG2" s="110"/>
      <c r="CH2" s="109" t="s">
        <v>69</v>
      </c>
      <c r="CI2" s="110"/>
      <c r="CJ2" s="109" t="s">
        <v>71</v>
      </c>
      <c r="CK2" s="110"/>
      <c r="CL2" s="109" t="s">
        <v>88</v>
      </c>
      <c r="CM2" s="111"/>
      <c r="CN2" s="111"/>
      <c r="CO2" s="111"/>
      <c r="CP2" s="111"/>
      <c r="CQ2" s="111"/>
      <c r="CR2" s="110"/>
      <c r="CS2" s="109" t="s">
        <v>73</v>
      </c>
      <c r="CT2" s="110"/>
      <c r="CU2" s="109" t="s">
        <v>74</v>
      </c>
      <c r="CV2" s="110"/>
    </row>
    <row r="3" spans="1:100" s="65" customFormat="1" ht="101.2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106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 t="e">
        <f>K4+U4+Z4+AF4+AL4+AQ4+AV4+AZ4+BE4+BI4+BM4+BS4+BU4+BW4+BY4+CA4+CC4+CE4+CG4+CI4+CK4+CR4+CT4+CV4</f>
        <v>#VALUE!</v>
      </c>
      <c r="C4" s="41" t="e">
        <f>RANK(B4,B$4:B$8)</f>
        <v>#VALUE!</v>
      </c>
      <c r="D4" s="42" t="s">
        <v>126</v>
      </c>
      <c r="E4" s="42">
        <v>2302.6999999999998</v>
      </c>
      <c r="F4" s="42">
        <v>1426.8</v>
      </c>
      <c r="G4" s="43">
        <v>0</v>
      </c>
      <c r="H4" s="43">
        <v>932</v>
      </c>
      <c r="I4" s="45" t="e">
        <f>(D4-H4)/(E4-F4-G4)</f>
        <v>#VALUE!</v>
      </c>
      <c r="J4" s="46" t="s">
        <v>11</v>
      </c>
      <c r="K4" s="85" t="e">
        <f>IF(I4&lt;=0.05,1,0)</f>
        <v>#VALUE!</v>
      </c>
      <c r="L4" s="42">
        <v>0</v>
      </c>
      <c r="M4" s="47"/>
      <c r="N4" s="42">
        <v>364.1</v>
      </c>
      <c r="O4" s="42"/>
      <c r="P4" s="42">
        <v>191.5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1E-3</v>
      </c>
      <c r="X4" s="49">
        <f>V4/W4</f>
        <v>0</v>
      </c>
      <c r="Y4" s="46" t="s">
        <v>15</v>
      </c>
      <c r="Z4" s="85">
        <f>IF(X4&lt;=1,1,0)</f>
        <v>1</v>
      </c>
      <c r="AA4" s="47">
        <v>0</v>
      </c>
      <c r="AB4" s="43">
        <v>2566.1</v>
      </c>
      <c r="AC4" s="42">
        <v>71.400000000000006</v>
      </c>
      <c r="AD4" s="49">
        <f>AA4/(AB4-AC4)</f>
        <v>0</v>
      </c>
      <c r="AE4" s="46" t="s">
        <v>12</v>
      </c>
      <c r="AF4" s="85">
        <f>IF(AD4&lt;=0.15,1,0)</f>
        <v>1</v>
      </c>
      <c r="AG4" s="27">
        <v>0</v>
      </c>
      <c r="AH4" s="42">
        <v>932</v>
      </c>
      <c r="AI4" s="47"/>
      <c r="AJ4" s="49">
        <f>AG4/(AH4+AI4)</f>
        <v>0</v>
      </c>
      <c r="AK4" s="46" t="s">
        <v>15</v>
      </c>
      <c r="AL4" s="85">
        <f>IF(AJ4&lt;=1,1,0)</f>
        <v>1</v>
      </c>
      <c r="AM4" s="63">
        <v>1176.2</v>
      </c>
      <c r="AN4" s="63">
        <v>1432</v>
      </c>
      <c r="AO4" s="51">
        <f>AM4/AN4</f>
        <v>0.82136871508379894</v>
      </c>
      <c r="AP4" s="46" t="s">
        <v>15</v>
      </c>
      <c r="AQ4" s="85">
        <f>IF(AO4&lt;=1,1,0)</f>
        <v>1</v>
      </c>
      <c r="AR4" s="50">
        <v>594.5</v>
      </c>
      <c r="AS4" s="50">
        <v>891.1</v>
      </c>
      <c r="AT4" s="51">
        <f>AR4/AS4</f>
        <v>0.66715295701941424</v>
      </c>
      <c r="AU4" s="46" t="s">
        <v>15</v>
      </c>
      <c r="AV4" s="85">
        <f>IF(AT4&lt;=1,1,0)</f>
        <v>1</v>
      </c>
      <c r="AW4" s="42">
        <v>185</v>
      </c>
      <c r="AX4" s="42">
        <v>266.5</v>
      </c>
      <c r="AY4" s="49">
        <f>AW4/AX4</f>
        <v>0.69418386491557227</v>
      </c>
      <c r="AZ4" s="85">
        <f>IF(AY4&lt;0.9,-1,IF(AY4&lt;=1.1,0,-1))</f>
        <v>-1</v>
      </c>
      <c r="BA4" s="50">
        <v>185</v>
      </c>
      <c r="BB4" s="50">
        <v>213.1</v>
      </c>
      <c r="BC4" s="55">
        <f>BA4/BB4</f>
        <v>0.86813702487095268</v>
      </c>
      <c r="BD4" s="46">
        <v>1.03</v>
      </c>
      <c r="BE4" s="85">
        <f>IF(BC4&lt;BD4,-1,IF(BC4&gt;=BD4,0))</f>
        <v>-1</v>
      </c>
      <c r="BF4" s="47">
        <v>0</v>
      </c>
      <c r="BG4" s="47">
        <v>1E-4</v>
      </c>
      <c r="BH4" s="27">
        <f>BF4/BG4</f>
        <v>0</v>
      </c>
      <c r="BI4" s="85">
        <f>IF(BH4&lt;1,1,(IF(BH4=1,0,(IF(BH4&lt;=1.5,-1,-2)))))</f>
        <v>1</v>
      </c>
      <c r="BJ4" s="50">
        <v>2228.5</v>
      </c>
      <c r="BK4" s="43">
        <v>2604.4</v>
      </c>
      <c r="BL4" s="49">
        <f>BJ4/BK4</f>
        <v>0.85566733220703417</v>
      </c>
      <c r="BM4" s="85">
        <f>IF(BL4&gt;=0.9,1,IF(BL4&lt;0.9,0))</f>
        <v>0</v>
      </c>
      <c r="BN4" s="50">
        <v>355.4</v>
      </c>
      <c r="BO4" s="50">
        <v>446.5</v>
      </c>
      <c r="BP4" s="50">
        <v>1736</v>
      </c>
      <c r="BQ4" s="50"/>
      <c r="BR4" s="49">
        <f>BQ4/(1.1*(BN4+BO4+BP4)/3)</f>
        <v>0</v>
      </c>
      <c r="BS4" s="85">
        <f>IF(BR4&lt;0.5,0,IF(BR4&lt;0.7,0.5,IF(BR4&lt;=1.3,1,IF(BR4&lt;=1.5,0.5,0))))</f>
        <v>0</v>
      </c>
      <c r="BT4" s="47"/>
      <c r="BU4" s="84">
        <f>IF(ISBLANK(BT4),0,-1)</f>
        <v>0</v>
      </c>
      <c r="BV4" s="90"/>
      <c r="BW4" s="84">
        <f>IF(ISBLANK(BV4),0,-1)</f>
        <v>0</v>
      </c>
      <c r="BX4" s="105"/>
      <c r="BY4" s="85">
        <f>IF(ISBLANK(BX4),0,-1)</f>
        <v>0</v>
      </c>
      <c r="BZ4" s="46"/>
      <c r="CA4" s="85">
        <f>IF(ISBLANK(BZ4),0,-1)</f>
        <v>0</v>
      </c>
      <c r="CB4" s="46"/>
      <c r="CC4" s="85">
        <f>IF(ISBLANK(CB4),0,-1)</f>
        <v>0</v>
      </c>
      <c r="CD4" s="98" t="s">
        <v>117</v>
      </c>
      <c r="CE4" s="93">
        <f>IF(ISBLANK(CD4),0,0.5)</f>
        <v>0.5</v>
      </c>
      <c r="CF4" s="96"/>
      <c r="CG4" s="85">
        <f>IF(ISBLANK(CF4),0,-1)</f>
        <v>0</v>
      </c>
      <c r="CH4" s="97" t="s">
        <v>102</v>
      </c>
      <c r="CI4" s="95">
        <f>IF(ISBLANK(CH4),0,0.5)</f>
        <v>0.5</v>
      </c>
      <c r="CJ4" s="97" t="s">
        <v>118</v>
      </c>
      <c r="CK4" s="95">
        <f>IF(ISBLANK(CJ4),0,0.5)</f>
        <v>0.5</v>
      </c>
      <c r="CL4" s="91">
        <v>1</v>
      </c>
      <c r="CM4" s="91">
        <v>1</v>
      </c>
      <c r="CN4" s="91"/>
      <c r="CO4" s="91">
        <v>1</v>
      </c>
      <c r="CP4" s="91">
        <v>1</v>
      </c>
      <c r="CQ4" s="52">
        <f>CL4+CM4+CN4+CO4+CP4</f>
        <v>4</v>
      </c>
      <c r="CR4" s="85">
        <f>IF(CQ4=5,1,0)</f>
        <v>0</v>
      </c>
      <c r="CS4" s="103" t="s">
        <v>127</v>
      </c>
      <c r="CT4" s="85">
        <f>IF(ISBLANK(CS4),0,0.5)</f>
        <v>0.5</v>
      </c>
      <c r="CU4" s="102" t="s">
        <v>105</v>
      </c>
      <c r="CV4" s="85">
        <f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10</v>
      </c>
      <c r="C5" s="41" t="e">
        <f>RANK(B5,B$4:B$8)</f>
        <v>#VALUE!</v>
      </c>
      <c r="D5" s="42">
        <v>175.7</v>
      </c>
      <c r="E5" s="42">
        <v>2580.1999999999998</v>
      </c>
      <c r="F5" s="42">
        <v>1848.6</v>
      </c>
      <c r="G5" s="43">
        <v>0</v>
      </c>
      <c r="H5" s="43">
        <v>175.7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527.79999999999995</v>
      </c>
      <c r="O5" s="42"/>
      <c r="P5" s="42">
        <v>453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1E-3</v>
      </c>
      <c r="X5" s="49">
        <f>V5/W5</f>
        <v>0</v>
      </c>
      <c r="Y5" s="46" t="s">
        <v>15</v>
      </c>
      <c r="Z5" s="85">
        <f>IF(X5&lt;=1,1,0)</f>
        <v>1</v>
      </c>
      <c r="AA5" s="47">
        <v>0</v>
      </c>
      <c r="AB5" s="43">
        <v>2570.9</v>
      </c>
      <c r="AC5" s="42">
        <v>71.8</v>
      </c>
      <c r="AD5" s="49">
        <f>AA5/(AB5-AC5)</f>
        <v>0</v>
      </c>
      <c r="AE5" s="46" t="s">
        <v>12</v>
      </c>
      <c r="AF5" s="85">
        <f>IF(AD5&lt;=0.15,1,0)</f>
        <v>1</v>
      </c>
      <c r="AG5" s="43">
        <v>0</v>
      </c>
      <c r="AH5" s="42">
        <v>175.7</v>
      </c>
      <c r="AI5" s="47"/>
      <c r="AJ5" s="49">
        <f>AG5/(AH5+AI5)</f>
        <v>0</v>
      </c>
      <c r="AK5" s="46" t="s">
        <v>15</v>
      </c>
      <c r="AL5" s="85">
        <f>IF(AJ5&lt;=1,1,0)</f>
        <v>1</v>
      </c>
      <c r="AM5" s="63">
        <v>1272.5999999999999</v>
      </c>
      <c r="AN5" s="63">
        <v>1966</v>
      </c>
      <c r="AO5" s="51">
        <f>AM5/AN5</f>
        <v>0.64730417090539161</v>
      </c>
      <c r="AP5" s="46" t="s">
        <v>15</v>
      </c>
      <c r="AQ5" s="85">
        <f>IF(AO5&lt;=1,1,0)</f>
        <v>1</v>
      </c>
      <c r="AR5" s="50">
        <v>779.5</v>
      </c>
      <c r="AS5" s="50">
        <v>1170.5999999999999</v>
      </c>
      <c r="AT5" s="51">
        <f>AR5/AS5</f>
        <v>0.6658978301725611</v>
      </c>
      <c r="AU5" s="46" t="s">
        <v>15</v>
      </c>
      <c r="AV5" s="85">
        <f>IF(AT5&lt;=1,1,0)</f>
        <v>1</v>
      </c>
      <c r="AW5" s="42">
        <v>424</v>
      </c>
      <c r="AX5" s="42">
        <v>504.3</v>
      </c>
      <c r="AY5" s="49">
        <f>AW5/AX5</f>
        <v>0.84076938330358908</v>
      </c>
      <c r="AZ5" s="85">
        <f>IF(AY5&lt;0.9,-1,IF(AY5&lt;=1.1,0,-1))</f>
        <v>-1</v>
      </c>
      <c r="BA5" s="50">
        <v>424</v>
      </c>
      <c r="BB5" s="50">
        <v>370.7</v>
      </c>
      <c r="BC5" s="55">
        <f>BA5/BB5</f>
        <v>1.1437820339897491</v>
      </c>
      <c r="BD5" s="46">
        <v>1.03</v>
      </c>
      <c r="BE5" s="85">
        <f>IF(BC5&lt;BD5,-1,IF(BC5&gt;=BD5,0))</f>
        <v>0</v>
      </c>
      <c r="BF5" s="47">
        <v>0</v>
      </c>
      <c r="BG5" s="47">
        <v>1E-4</v>
      </c>
      <c r="BH5" s="27">
        <f>BF5/BG5</f>
        <v>0</v>
      </c>
      <c r="BI5" s="85">
        <f>IF(BH5&lt;1,1,(IF(BH5=1,0,(IF(BH5&lt;=1.5,-1,-2)))))</f>
        <v>1</v>
      </c>
      <c r="BJ5" s="50">
        <v>2153.9</v>
      </c>
      <c r="BK5" s="43">
        <v>2561.5</v>
      </c>
      <c r="BL5" s="49">
        <f>BJ5/BK5</f>
        <v>0.84087448760491901</v>
      </c>
      <c r="BM5" s="85">
        <f>IF(BL5&gt;=0.9,1,IF(BL5&lt;0.9,0))</f>
        <v>0</v>
      </c>
      <c r="BN5" s="50">
        <v>904.8</v>
      </c>
      <c r="BO5" s="50">
        <v>773.5</v>
      </c>
      <c r="BP5" s="50">
        <v>816.8</v>
      </c>
      <c r="BQ5" s="50"/>
      <c r="BR5" s="49">
        <f>BQ5/(1.1*(BN5+BO5+BP5)/3)</f>
        <v>0</v>
      </c>
      <c r="BS5" s="85">
        <f>IF(BR5&lt;0.5,0,IF(BR5&lt;0.7,0.5,IF(BR5&lt;=1.3,1,IF(BR5&lt;=1.5,0.5,0))))</f>
        <v>0</v>
      </c>
      <c r="BT5" s="47"/>
      <c r="BU5" s="84">
        <f>IF(ISBLANK(BT5),0,-1)</f>
        <v>0</v>
      </c>
      <c r="BV5" s="90"/>
      <c r="BW5" s="84">
        <f>IF(ISBLANK(BV5),0,-1)</f>
        <v>0</v>
      </c>
      <c r="BX5" s="105"/>
      <c r="BY5" s="85">
        <f>IF(ISBLANK(BX5),0,-1)</f>
        <v>0</v>
      </c>
      <c r="BZ5" s="46"/>
      <c r="CA5" s="85">
        <f>IF(ISBLANK(BZ5),0,-1)</f>
        <v>0</v>
      </c>
      <c r="CB5" s="46"/>
      <c r="CC5" s="85">
        <f>IF(ISBLANK(CB5),0,-1)</f>
        <v>0</v>
      </c>
      <c r="CD5" s="98" t="s">
        <v>119</v>
      </c>
      <c r="CE5" s="93">
        <f>IF(ISBLANK(CD5),0,0.5)</f>
        <v>0.5</v>
      </c>
      <c r="CF5" s="96"/>
      <c r="CG5" s="85">
        <f>IF(ISBLANK(CF5),0,-1)</f>
        <v>0</v>
      </c>
      <c r="CH5" s="97" t="s">
        <v>109</v>
      </c>
      <c r="CI5" s="95">
        <f>IF(ISBLANK(CH5),0,0.5)</f>
        <v>0.5</v>
      </c>
      <c r="CJ5" s="97" t="s">
        <v>120</v>
      </c>
      <c r="CK5" s="95">
        <f>IF(ISBLANK(CJ5),0,0.5)</f>
        <v>0.5</v>
      </c>
      <c r="CL5" s="91">
        <v>1</v>
      </c>
      <c r="CM5" s="91">
        <v>1</v>
      </c>
      <c r="CN5" s="91"/>
      <c r="CO5" s="91"/>
      <c r="CP5" s="91">
        <v>1</v>
      </c>
      <c r="CQ5" s="52">
        <f>CL5+CM5+CN5+CO5+CP5</f>
        <v>3</v>
      </c>
      <c r="CR5" s="85">
        <f>IF(CQ5=5,1,0)</f>
        <v>0</v>
      </c>
      <c r="CS5" s="103" t="s">
        <v>121</v>
      </c>
      <c r="CT5" s="85">
        <f>IF(ISBLANK(CS5),0,0.5)</f>
        <v>0.5</v>
      </c>
      <c r="CU5" s="102" t="s">
        <v>106</v>
      </c>
      <c r="CV5" s="85">
        <f>IF(ISBLANK(CU5),0,1)</f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9</v>
      </c>
      <c r="C6" s="41" t="e">
        <f>RANK(B6,B$4:B$8)</f>
        <v>#VALUE!</v>
      </c>
      <c r="D6" s="42">
        <v>1</v>
      </c>
      <c r="E6" s="42">
        <v>2792</v>
      </c>
      <c r="F6" s="42">
        <v>1277.5999999999999</v>
      </c>
      <c r="G6" s="43">
        <v>0</v>
      </c>
      <c r="H6" s="43">
        <v>1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153.1</v>
      </c>
      <c r="O6" s="53"/>
      <c r="P6" s="42">
        <v>364.2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1E-3</v>
      </c>
      <c r="X6" s="49">
        <f>V6/W6</f>
        <v>0</v>
      </c>
      <c r="Y6" s="46" t="s">
        <v>15</v>
      </c>
      <c r="Z6" s="85">
        <f>IF(X6&lt;=1,1,0)</f>
        <v>1</v>
      </c>
      <c r="AA6" s="47">
        <v>0</v>
      </c>
      <c r="AB6" s="43">
        <v>1E-3</v>
      </c>
      <c r="AC6" s="47">
        <v>0</v>
      </c>
      <c r="AD6" s="49">
        <f>AA6/(AB6-AC6)</f>
        <v>0</v>
      </c>
      <c r="AE6" s="46" t="s">
        <v>12</v>
      </c>
      <c r="AF6" s="85">
        <f>IF(AD6&lt;=0.15,1,0)</f>
        <v>1</v>
      </c>
      <c r="AG6" s="43">
        <v>0</v>
      </c>
      <c r="AH6" s="42">
        <v>1</v>
      </c>
      <c r="AI6" s="42"/>
      <c r="AJ6" s="49">
        <f>AG6/(AH6+AI6)</f>
        <v>0</v>
      </c>
      <c r="AK6" s="46" t="s">
        <v>15</v>
      </c>
      <c r="AL6" s="85">
        <f>IF(AJ6&lt;=1,1,0)</f>
        <v>1</v>
      </c>
      <c r="AM6" s="63">
        <v>1728</v>
      </c>
      <c r="AN6" s="63">
        <v>1850</v>
      </c>
      <c r="AO6" s="51">
        <f>AM6/AN6</f>
        <v>0.93405405405405406</v>
      </c>
      <c r="AP6" s="46" t="s">
        <v>15</v>
      </c>
      <c r="AQ6" s="85">
        <f>IF(AO6&lt;=1,1,0)</f>
        <v>1</v>
      </c>
      <c r="AR6" s="50">
        <v>676.9</v>
      </c>
      <c r="AS6" s="50">
        <v>1097.2</v>
      </c>
      <c r="AT6" s="51">
        <f>AR6/AS6</f>
        <v>0.61693401385344504</v>
      </c>
      <c r="AU6" s="46" t="s">
        <v>15</v>
      </c>
      <c r="AV6" s="85">
        <f>IF(AT6&lt;=1,1,0)</f>
        <v>1</v>
      </c>
      <c r="AW6" s="42">
        <v>1415.6</v>
      </c>
      <c r="AX6" s="42">
        <v>1050.9000000000001</v>
      </c>
      <c r="AY6" s="49">
        <f>AW6/AX6</f>
        <v>1.3470358740127508</v>
      </c>
      <c r="AZ6" s="85">
        <f>IF(AY6&lt;0.9,-1,IF(AY6&lt;=1.1,0,-1))</f>
        <v>-1</v>
      </c>
      <c r="BA6" s="50">
        <v>1415.6</v>
      </c>
      <c r="BB6" s="50">
        <v>905.1</v>
      </c>
      <c r="BC6" s="55">
        <f>BA6/BB6</f>
        <v>1.5640260744669097</v>
      </c>
      <c r="BD6" s="46">
        <v>1.03</v>
      </c>
      <c r="BE6" s="85">
        <f>IF(BC6&lt;BD6,-1,IF(BC6&gt;=BD6,0))</f>
        <v>0</v>
      </c>
      <c r="BF6" s="47">
        <v>0</v>
      </c>
      <c r="BG6" s="47">
        <v>1E-4</v>
      </c>
      <c r="BH6" s="27">
        <f>BF6/BG6</f>
        <v>0</v>
      </c>
      <c r="BI6" s="85">
        <f>IF(BH6&lt;1,1,(IF(BH6=1,0,(IF(BH6&lt;=1.5,-1,-2)))))</f>
        <v>1</v>
      </c>
      <c r="BJ6" s="50">
        <v>1766.6</v>
      </c>
      <c r="BK6" s="43">
        <v>2202</v>
      </c>
      <c r="BL6" s="49">
        <f>BJ6/BK6</f>
        <v>0.80227066303360572</v>
      </c>
      <c r="BM6" s="85">
        <f>IF(BL6&gt;=0.9,1,IF(BL6&lt;0.9,0))</f>
        <v>0</v>
      </c>
      <c r="BN6" s="50">
        <v>687.8</v>
      </c>
      <c r="BO6" s="50">
        <v>785.7</v>
      </c>
      <c r="BP6" s="50">
        <v>661</v>
      </c>
      <c r="BQ6" s="50"/>
      <c r="BR6" s="49">
        <f>BQ6/(1.1*(BN6+BO6+BP6)/3)</f>
        <v>0</v>
      </c>
      <c r="BS6" s="85">
        <f>IF(BR6&lt;0.5,0,IF(BR6&lt;0.7,0.5,IF(BR6&lt;=1.3,1,IF(BR6&lt;=1.5,0.5,0))))</f>
        <v>0</v>
      </c>
      <c r="BT6" s="47"/>
      <c r="BU6" s="84">
        <f>IF(ISBLANK(BT6),0,-1)</f>
        <v>0</v>
      </c>
      <c r="BV6" s="90"/>
      <c r="BW6" s="84">
        <f>IF(ISBLANK(BV6),0,-1)</f>
        <v>0</v>
      </c>
      <c r="BX6" s="105"/>
      <c r="BY6" s="85">
        <f>IF(ISBLANK(BX6),0,-1)</f>
        <v>0</v>
      </c>
      <c r="BZ6" s="46"/>
      <c r="CA6" s="85">
        <f>IF(ISBLANK(BZ6),0,-1)</f>
        <v>0</v>
      </c>
      <c r="CB6" s="46"/>
      <c r="CC6" s="85">
        <f>IF(ISBLANK(CB6),0,-1)</f>
        <v>0</v>
      </c>
      <c r="CD6" s="104" t="s">
        <v>113</v>
      </c>
      <c r="CE6" s="93">
        <f>IF(ISBLANK(CD6),0,0.5)</f>
        <v>0.5</v>
      </c>
      <c r="CF6" s="96"/>
      <c r="CG6" s="85">
        <f>IF(ISBLANK(CF6),0,-1)</f>
        <v>0</v>
      </c>
      <c r="CH6" s="97" t="s">
        <v>103</v>
      </c>
      <c r="CI6" s="95">
        <f>IF(ISBLANK(CH6),0,0.5)</f>
        <v>0.5</v>
      </c>
      <c r="CJ6" s="97"/>
      <c r="CK6" s="95">
        <f>IF(ISBLANK(CJ6),0,0.5)</f>
        <v>0</v>
      </c>
      <c r="CL6" s="91">
        <v>1</v>
      </c>
      <c r="CM6" s="91">
        <v>1</v>
      </c>
      <c r="CN6" s="91"/>
      <c r="CO6" s="91"/>
      <c r="CP6" s="91"/>
      <c r="CQ6" s="52">
        <f>CL6+CM6+CN6+CO6+CP6</f>
        <v>2</v>
      </c>
      <c r="CR6" s="85">
        <f>IF(CQ6=5,1,0)</f>
        <v>0</v>
      </c>
      <c r="CS6" s="103"/>
      <c r="CT6" s="85">
        <f>IF(ISBLANK(CS6),0,0.5)</f>
        <v>0</v>
      </c>
      <c r="CU6" s="102" t="s">
        <v>112</v>
      </c>
      <c r="CV6" s="85">
        <f>IF(ISBLANK(CU6),0,1)</f>
        <v>1</v>
      </c>
    </row>
    <row r="7" spans="1:100" s="6" customFormat="1" ht="120">
      <c r="A7" s="41" t="s">
        <v>108</v>
      </c>
      <c r="B7" s="41">
        <f>K7+U7+Z7+AF7+AL7+AQ7+AV7+AZ7+BE7+BI7+BM7+BS7+BU7+BW7+BY7+CA7+CC7+CE7+CG7+CI7+CK7+CR7+CT7+CV7</f>
        <v>10</v>
      </c>
      <c r="C7" s="41" t="e">
        <f>RANK(B7,B$4:B$8)</f>
        <v>#VALUE!</v>
      </c>
      <c r="D7" s="42">
        <v>410.4</v>
      </c>
      <c r="E7" s="42">
        <v>2613</v>
      </c>
      <c r="F7" s="42">
        <v>2110.8000000000002</v>
      </c>
      <c r="G7" s="43">
        <v>0</v>
      </c>
      <c r="H7" s="43">
        <v>410.4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458.8</v>
      </c>
      <c r="O7" s="42"/>
      <c r="P7" s="42">
        <v>224.3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1E-3</v>
      </c>
      <c r="X7" s="49">
        <f>V7/W7</f>
        <v>0</v>
      </c>
      <c r="Y7" s="46" t="s">
        <v>15</v>
      </c>
      <c r="Z7" s="85">
        <f>IF(X7&lt;=1,1,0)</f>
        <v>1</v>
      </c>
      <c r="AA7" s="47">
        <v>0</v>
      </c>
      <c r="AB7" s="43">
        <v>2627.3</v>
      </c>
      <c r="AC7" s="42">
        <v>68.7</v>
      </c>
      <c r="AD7" s="49">
        <f>AA7/(AB7-AC7)</f>
        <v>0</v>
      </c>
      <c r="AE7" s="46" t="s">
        <v>12</v>
      </c>
      <c r="AF7" s="85">
        <f>IF(AD7&lt;=0.15,1,0)</f>
        <v>1</v>
      </c>
      <c r="AG7" s="43">
        <v>0</v>
      </c>
      <c r="AH7" s="42">
        <v>410.4</v>
      </c>
      <c r="AI7" s="54"/>
      <c r="AJ7" s="49">
        <f>AG7/(AH7+AI7)</f>
        <v>0</v>
      </c>
      <c r="AK7" s="46" t="s">
        <v>15</v>
      </c>
      <c r="AL7" s="85">
        <f>IF(AJ7&lt;=1,1,0)</f>
        <v>1</v>
      </c>
      <c r="AM7" s="63">
        <v>1394</v>
      </c>
      <c r="AN7" s="63">
        <v>2083</v>
      </c>
      <c r="AO7" s="51">
        <f>AM7/AN7</f>
        <v>0.66922707633221312</v>
      </c>
      <c r="AP7" s="46" t="s">
        <v>15</v>
      </c>
      <c r="AQ7" s="85">
        <f>IF(AO7&lt;=1,1,0)</f>
        <v>1</v>
      </c>
      <c r="AR7" s="50">
        <v>842</v>
      </c>
      <c r="AS7" s="50">
        <v>1275.0999999999999</v>
      </c>
      <c r="AT7" s="51">
        <f>AR7/AS7</f>
        <v>0.66034036546153252</v>
      </c>
      <c r="AU7" s="46" t="s">
        <v>15</v>
      </c>
      <c r="AV7" s="85">
        <f>IF(AT7&lt;=1,1,0)</f>
        <v>1</v>
      </c>
      <c r="AW7" s="42">
        <v>388.2</v>
      </c>
      <c r="AX7" s="42">
        <v>598.5</v>
      </c>
      <c r="AY7" s="49">
        <f>AW7/AX7</f>
        <v>0.64862155388471177</v>
      </c>
      <c r="AZ7" s="85">
        <f>IF(AY7&lt;0.9,-1,IF(AY7&lt;=1.1,0,-1))</f>
        <v>-1</v>
      </c>
      <c r="BA7" s="50">
        <v>388.2</v>
      </c>
      <c r="BB7" s="50">
        <v>359.2</v>
      </c>
      <c r="BC7" s="55">
        <f>BA7/BB7</f>
        <v>1.0807349665924275</v>
      </c>
      <c r="BD7" s="46">
        <v>1.03</v>
      </c>
      <c r="BE7" s="85">
        <f>IF(BC7&lt;BD7,-1,IF(BC7&gt;=BD7,0))</f>
        <v>0</v>
      </c>
      <c r="BF7" s="47">
        <v>0</v>
      </c>
      <c r="BG7" s="47">
        <v>3.9</v>
      </c>
      <c r="BH7" s="27">
        <f>BF7/BG7</f>
        <v>0</v>
      </c>
      <c r="BI7" s="85">
        <f>IF(BH7&lt;1,1,(IF(BH7=1,0,(IF(BH7&lt;=1.5,-1,-2)))))</f>
        <v>1</v>
      </c>
      <c r="BJ7" s="50">
        <v>2449.5</v>
      </c>
      <c r="BK7" s="43">
        <v>2853</v>
      </c>
      <c r="BL7" s="51">
        <f>BJ7/BK7</f>
        <v>0.85856992639327023</v>
      </c>
      <c r="BM7" s="85">
        <f>IF(BL7&gt;=0.9,1,IF(BL7&lt;0.9,0))</f>
        <v>0</v>
      </c>
      <c r="BN7" s="50">
        <v>788</v>
      </c>
      <c r="BO7" s="50">
        <v>923.3</v>
      </c>
      <c r="BP7" s="50">
        <v>1078.3</v>
      </c>
      <c r="BQ7" s="50"/>
      <c r="BR7" s="49">
        <f>BQ7/(1.1*(BN7+BO7+BP7)/3)</f>
        <v>0</v>
      </c>
      <c r="BS7" s="85">
        <f>IF(BR7&lt;0.5,0,IF(BR7&lt;0.7,0.5,IF(BR7&lt;=1.3,1,IF(BR7&lt;=1.5,0.5,0))))</f>
        <v>0</v>
      </c>
      <c r="BT7" s="47"/>
      <c r="BU7" s="84">
        <f>IF(ISBLANK(BT7),0,-1)</f>
        <v>0</v>
      </c>
      <c r="BV7" s="90"/>
      <c r="BW7" s="84">
        <f>IF(ISBLANK(BV7),0,-1)</f>
        <v>0</v>
      </c>
      <c r="BX7" s="105"/>
      <c r="BY7" s="85">
        <f>IF(ISBLANK(BX7),0,-1)</f>
        <v>0</v>
      </c>
      <c r="BZ7" s="46"/>
      <c r="CA7" s="85">
        <f>IF(ISBLANK(BZ7),0,-1)</f>
        <v>0</v>
      </c>
      <c r="CB7" s="46"/>
      <c r="CC7" s="85">
        <f>IF(ISBLANK(CB7),0,-1)</f>
        <v>0</v>
      </c>
      <c r="CD7" s="98" t="s">
        <v>111</v>
      </c>
      <c r="CE7" s="93">
        <f>IF(ISBLANK(CD7),0,0.5)</f>
        <v>0.5</v>
      </c>
      <c r="CF7" s="96"/>
      <c r="CG7" s="85">
        <f>IF(ISBLANK(CF7),0,-1)</f>
        <v>0</v>
      </c>
      <c r="CH7" s="97" t="s">
        <v>110</v>
      </c>
      <c r="CI7" s="95">
        <f>IF(ISBLANK(CH7),0,0.5)</f>
        <v>0.5</v>
      </c>
      <c r="CJ7" s="97" t="s">
        <v>122</v>
      </c>
      <c r="CK7" s="95">
        <f>IF(ISBLANK(CJ7),0,0.5)</f>
        <v>0.5</v>
      </c>
      <c r="CL7" s="91">
        <v>1</v>
      </c>
      <c r="CM7" s="91">
        <v>1</v>
      </c>
      <c r="CN7" s="91"/>
      <c r="CO7" s="91">
        <v>1</v>
      </c>
      <c r="CP7" s="91">
        <v>1</v>
      </c>
      <c r="CQ7" s="52">
        <f>CL7+CM7+CN7+CO7+CP7</f>
        <v>4</v>
      </c>
      <c r="CR7" s="85">
        <f>IF(CQ7=5,1,0)</f>
        <v>0</v>
      </c>
      <c r="CS7" s="107" t="s">
        <v>114</v>
      </c>
      <c r="CT7" s="85">
        <f>IF(ISBLANK(CS7),0,0.5)</f>
        <v>0.5</v>
      </c>
      <c r="CU7" s="108" t="s">
        <v>115</v>
      </c>
      <c r="CV7" s="85">
        <f>IF(ISBLANK(CU7),0,1)</f>
        <v>1</v>
      </c>
    </row>
    <row r="8" spans="1:100" s="6" customFormat="1" ht="57">
      <c r="A8" s="41" t="s">
        <v>54</v>
      </c>
      <c r="B8" s="41">
        <f>K8+U8+Z8+AF8+AL8+AQ8+AV8+AZ8+BE8+BI8+BM8+BS8+BU8+BW8+BY8+CA8+CC8+CE8+CG8+CI8+CK8+CR8+CT8+CV8</f>
        <v>6</v>
      </c>
      <c r="C8" s="41" t="e">
        <f>RANK(B8,B$4:B$8)</f>
        <v>#VALUE!</v>
      </c>
      <c r="D8" s="42">
        <v>1553.7</v>
      </c>
      <c r="E8" s="43">
        <v>26073.1</v>
      </c>
      <c r="F8" s="42">
        <v>20156.599999999999</v>
      </c>
      <c r="G8" s="43">
        <v>0</v>
      </c>
      <c r="H8" s="43">
        <v>1553.7</v>
      </c>
      <c r="I8" s="45">
        <f>(D8-H8)/(E8-F8-G8)</f>
        <v>0</v>
      </c>
      <c r="J8" s="46" t="s">
        <v>11</v>
      </c>
      <c r="K8" s="85">
        <f>IF(I8&lt;=0.05,1,0)</f>
        <v>1</v>
      </c>
      <c r="L8" s="42">
        <v>0</v>
      </c>
      <c r="M8" s="47"/>
      <c r="N8" s="43">
        <v>4514.3999999999996</v>
      </c>
      <c r="O8" s="42"/>
      <c r="P8" s="42">
        <v>1640.3</v>
      </c>
      <c r="Q8" s="47"/>
      <c r="R8" s="44">
        <v>0</v>
      </c>
      <c r="S8" s="48">
        <f>(L8-R8)/(N8-P8-R8)</f>
        <v>0</v>
      </c>
      <c r="T8" s="46" t="s">
        <v>14</v>
      </c>
      <c r="U8" s="85">
        <f>IF(S8&lt;=0.5,1,0)</f>
        <v>1</v>
      </c>
      <c r="V8" s="42"/>
      <c r="W8" s="42">
        <v>1E-3</v>
      </c>
      <c r="X8" s="49">
        <f>V8/W8</f>
        <v>0</v>
      </c>
      <c r="Y8" s="46" t="s">
        <v>15</v>
      </c>
      <c r="Z8" s="85">
        <f>IF(X8&lt;=1,1,0)</f>
        <v>1</v>
      </c>
      <c r="AA8" s="47">
        <v>0</v>
      </c>
      <c r="AB8" s="43">
        <v>26787.3</v>
      </c>
      <c r="AC8" s="100">
        <v>179.6</v>
      </c>
      <c r="AD8" s="49">
        <f>AA8/(AB8-AC8)</f>
        <v>0</v>
      </c>
      <c r="AE8" s="46" t="s">
        <v>12</v>
      </c>
      <c r="AF8" s="85">
        <f>IF(AD8&lt;=0.15,1,0)</f>
        <v>1</v>
      </c>
      <c r="AG8" s="27">
        <v>0</v>
      </c>
      <c r="AH8" s="42">
        <v>1553.7</v>
      </c>
      <c r="AI8" s="42">
        <v>0</v>
      </c>
      <c r="AJ8" s="49">
        <f>AG8/(AH8+AI8)</f>
        <v>0</v>
      </c>
      <c r="AK8" s="46" t="s">
        <v>15</v>
      </c>
      <c r="AL8" s="85">
        <f>IF(AJ8&lt;=1,1,0)</f>
        <v>1</v>
      </c>
      <c r="AM8" s="63">
        <v>3444.3</v>
      </c>
      <c r="AN8" s="63">
        <v>3437.8</v>
      </c>
      <c r="AO8" s="51">
        <f>AM8/AN8</f>
        <v>1.0018907440805167</v>
      </c>
      <c r="AP8" s="46" t="s">
        <v>15</v>
      </c>
      <c r="AQ8" s="85">
        <f>IF(AO8&lt;=1,1,0)</f>
        <v>0</v>
      </c>
      <c r="AR8" s="50">
        <v>1827</v>
      </c>
      <c r="AS8" s="50">
        <v>2582.6999999999998</v>
      </c>
      <c r="AT8" s="51">
        <f>AR8/AS8</f>
        <v>0.70739923336043675</v>
      </c>
      <c r="AU8" s="46" t="s">
        <v>15</v>
      </c>
      <c r="AV8" s="85">
        <f>IF(AT8&lt;=1,1,0)</f>
        <v>1</v>
      </c>
      <c r="AW8" s="42">
        <v>4886.2</v>
      </c>
      <c r="AX8" s="42">
        <v>7478.8</v>
      </c>
      <c r="AY8" s="49">
        <f>AW8/AX8</f>
        <v>0.65334010803872278</v>
      </c>
      <c r="AZ8" s="85">
        <f>IF(AY8&lt;0.9,-1,IF(AY8&lt;=1.1,0,-1))</f>
        <v>-1</v>
      </c>
      <c r="BA8" s="50">
        <v>4886.2</v>
      </c>
      <c r="BB8" s="50">
        <v>4857.8999999999996</v>
      </c>
      <c r="BC8" s="55">
        <f>BA8/BB8</f>
        <v>1.0058255624858479</v>
      </c>
      <c r="BD8" s="46">
        <v>1.03</v>
      </c>
      <c r="BE8" s="85">
        <f>IF(BC8&lt;BD8,-1,IF(BC8&gt;=BD8,0))</f>
        <v>-1</v>
      </c>
      <c r="BF8" s="47">
        <v>274.5</v>
      </c>
      <c r="BG8" s="47">
        <v>45.77</v>
      </c>
      <c r="BH8" s="27">
        <f>BF8/BG8</f>
        <v>5.9973781953244476</v>
      </c>
      <c r="BI8" s="85">
        <f>IF(BH8&lt;1,1,(IF(BH8=1,0,(IF(BH8&lt;=1.5,-1,-2)))))</f>
        <v>-2</v>
      </c>
      <c r="BJ8" s="50">
        <v>26467.4</v>
      </c>
      <c r="BK8" s="43">
        <v>27276.6</v>
      </c>
      <c r="BL8" s="51">
        <f>BJ8/BK8</f>
        <v>0.9703335459698057</v>
      </c>
      <c r="BM8" s="85">
        <f>IF(BL8&gt;=0.9,1,IF(BL8&lt;0.9,0))</f>
        <v>1</v>
      </c>
      <c r="BN8" s="50">
        <v>1977.3</v>
      </c>
      <c r="BO8" s="50">
        <v>2856</v>
      </c>
      <c r="BP8" s="50">
        <v>22277.200000000001</v>
      </c>
      <c r="BQ8" s="50"/>
      <c r="BR8" s="49">
        <f>BQ8/(1.1*(BN8+BO8+BP8)/3)</f>
        <v>0</v>
      </c>
      <c r="BS8" s="85">
        <f>IF(BR8&lt;0.5,0,IF(BR8&lt;0.7,0.5,IF(BR8&lt;=1.3,1,IF(BR8&lt;=1.5,0.5,0))))</f>
        <v>0</v>
      </c>
      <c r="BT8" s="47"/>
      <c r="BU8" s="84">
        <f>IF(ISBLANK(BT8),0,-1)</f>
        <v>0</v>
      </c>
      <c r="BV8" s="90"/>
      <c r="BW8" s="84">
        <f>IF(ISBLANK(BV8),0,-1)</f>
        <v>0</v>
      </c>
      <c r="BX8" s="105"/>
      <c r="BY8" s="85">
        <f>IF(ISBLANK(BX8),0,-1)</f>
        <v>0</v>
      </c>
      <c r="BZ8" s="46"/>
      <c r="CA8" s="85">
        <f>IF(ISBLANK(BZ8),0,-1)</f>
        <v>0</v>
      </c>
      <c r="CB8" s="46"/>
      <c r="CC8" s="85">
        <f>IF(ISBLANK(CB8),0,-1)</f>
        <v>0</v>
      </c>
      <c r="CD8" s="98" t="s">
        <v>123</v>
      </c>
      <c r="CE8" s="93">
        <f>IF(ISBLANK(CD8),0,0.5)</f>
        <v>0.5</v>
      </c>
      <c r="CF8" s="96"/>
      <c r="CG8" s="85">
        <f>IF(ISBLANK(CF8),0,-1)</f>
        <v>0</v>
      </c>
      <c r="CH8" s="97" t="s">
        <v>104</v>
      </c>
      <c r="CI8" s="95">
        <f>IF(ISBLANK(CH8),0,0.5)</f>
        <v>0.5</v>
      </c>
      <c r="CJ8" s="97" t="s">
        <v>124</v>
      </c>
      <c r="CK8" s="95">
        <f>IF(ISBLANK(CJ8),0,0.5)</f>
        <v>0.5</v>
      </c>
      <c r="CL8" s="91">
        <v>1</v>
      </c>
      <c r="CM8" s="91">
        <v>1</v>
      </c>
      <c r="CN8" s="91"/>
      <c r="CO8" s="91">
        <v>1</v>
      </c>
      <c r="CP8" s="91">
        <v>1</v>
      </c>
      <c r="CQ8" s="52">
        <f>CP8+CL8+CM8+CN8+CO8</f>
        <v>4</v>
      </c>
      <c r="CR8" s="86">
        <f>IF(CQ8=5,1,0)</f>
        <v>0</v>
      </c>
      <c r="CS8" s="103" t="s">
        <v>125</v>
      </c>
      <c r="CT8" s="85">
        <f>IF(ISBLANK(CS8),0,0.5)</f>
        <v>0.5</v>
      </c>
      <c r="CU8" s="103" t="s">
        <v>107</v>
      </c>
      <c r="CV8" s="85">
        <f>IF(ISBLANK(CU8),0,1)</f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2140.8000000000002</v>
      </c>
      <c r="E9" s="57">
        <f>SUM(E4:E8)</f>
        <v>36361</v>
      </c>
      <c r="F9" s="57">
        <f>SUM(F4:F8)</f>
        <v>26820.399999999998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0">SUM(L4:L8)</f>
        <v>0</v>
      </c>
      <c r="M9" s="57">
        <f t="shared" si="0"/>
        <v>0</v>
      </c>
      <c r="N9" s="57">
        <f t="shared" si="0"/>
        <v>6018.2</v>
      </c>
      <c r="O9" s="57">
        <f t="shared" si="0"/>
        <v>0</v>
      </c>
      <c r="P9" s="57">
        <f t="shared" si="0"/>
        <v>2873.3</v>
      </c>
      <c r="Q9" s="57">
        <f t="shared" si="0"/>
        <v>0</v>
      </c>
      <c r="R9" s="57">
        <f t="shared" si="0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34551.601000000002</v>
      </c>
      <c r="AC9" s="57">
        <f>SUM(AC4:AC8)</f>
        <v>391.5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3072.8</v>
      </c>
      <c r="AI9" s="57">
        <f>SUM(AI4:AI8)</f>
        <v>0</v>
      </c>
      <c r="AJ9" s="57"/>
      <c r="AK9" s="57"/>
      <c r="AL9" s="57"/>
      <c r="AM9" s="57">
        <f>SUM(AM4:AM8)</f>
        <v>9015.1</v>
      </c>
      <c r="AN9" s="57">
        <f>SUM(AN4:AN8)</f>
        <v>10768.8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7299</v>
      </c>
      <c r="AX9" s="58">
        <f>SUM(AX4:AX8)</f>
        <v>9899</v>
      </c>
      <c r="AY9" s="59"/>
      <c r="AZ9" s="57"/>
      <c r="BA9" s="57">
        <f>SUM(BA4:BA8)</f>
        <v>7299</v>
      </c>
      <c r="BB9" s="57">
        <f>SUM(BB4:BB8)</f>
        <v>6706</v>
      </c>
      <c r="BC9" s="57">
        <f>SUM(BC4:BC8)</f>
        <v>5.6625056624058869</v>
      </c>
      <c r="BD9" s="57">
        <v>0</v>
      </c>
      <c r="BE9" s="57"/>
      <c r="BF9" s="57"/>
      <c r="BG9" s="57"/>
      <c r="BH9" s="57"/>
      <c r="BI9" s="57"/>
      <c r="BJ9" s="57">
        <f>SUM(BJ4:BJ8)</f>
        <v>35065.9</v>
      </c>
      <c r="BK9" s="57">
        <f>SUM(BK4:BK8)</f>
        <v>37497.5</v>
      </c>
      <c r="BL9" s="57"/>
      <c r="BM9" s="57"/>
      <c r="BN9" s="57">
        <f>SUM(BN4:BN8)</f>
        <v>4713.3</v>
      </c>
      <c r="BO9" s="57">
        <f>SUM(BO4:BO8)</f>
        <v>5785</v>
      </c>
      <c r="BP9" s="57">
        <f>SUM(BP4:BP8)</f>
        <v>26569.300000000003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/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L2:CR2"/>
    <mergeCell ref="AR2:AV2"/>
    <mergeCell ref="BX2:BY2"/>
    <mergeCell ref="D2:K2"/>
    <mergeCell ref="L2:U2"/>
    <mergeCell ref="AA2:AF2"/>
    <mergeCell ref="AM2:AQ2"/>
    <mergeCell ref="BA2:BE2"/>
    <mergeCell ref="BZ2:CA2"/>
    <mergeCell ref="CB2:CC2"/>
    <mergeCell ref="CD2:CE2"/>
    <mergeCell ref="CU2:CV2"/>
    <mergeCell ref="V2:Z2"/>
    <mergeCell ref="AG2:AL2"/>
    <mergeCell ref="AW2:AZ2"/>
    <mergeCell ref="BN2:BS2"/>
    <mergeCell ref="CS2:CT2"/>
    <mergeCell ref="CJ2:CK2"/>
    <mergeCell ref="CH2:CI2"/>
    <mergeCell ref="CF2:CG2"/>
    <mergeCell ref="BV2:BW2"/>
    <mergeCell ref="BF2:BI2"/>
    <mergeCell ref="BJ2:BM2"/>
    <mergeCell ref="BT2:BU2"/>
  </mergeCells>
  <hyperlinks>
    <hyperlink ref="CS7" r:id="rId2"/>
  </hyperlinks>
  <pageMargins left="0.21" right="0.17" top="0.15748031496062992" bottom="0.15748031496062992" header="0.31496062992125984" footer="0.31496062992125984"/>
  <pageSetup paperSize="9" scale="6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год</vt:lpstr>
      <vt:lpstr>'2022 год'!Заголовки_для_печати</vt:lpstr>
      <vt:lpstr>'2022 год'!Область_печати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2022-10-19T10:24:12Z</cp:lastPrinted>
  <dcterms:created xsi:type="dcterms:W3CDTF">2009-01-27T10:52:16Z</dcterms:created>
  <dcterms:modified xsi:type="dcterms:W3CDTF">2022-10-19T10:30:11Z</dcterms:modified>
</cp:coreProperties>
</file>